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3820" windowHeight="14958" activeTab="0"/>
  </bookViews>
  <sheets>
    <sheet name="Sheet3" sheetId="1" r:id="rId1"/>
    <sheet name="Calculations" sheetId="2" r:id="rId2"/>
  </sheets>
  <definedNames>
    <definedName name="ATT">'Calculations'!$C$4</definedName>
    <definedName name="Cd">'Calculations'!$C$18</definedName>
    <definedName name="Cd_Act">'Sheet3'!$K$34</definedName>
    <definedName name="Cd_ESR">'Calculations'!$C$19</definedName>
    <definedName name="Cd_ESR_Act">'Sheet3'!$K$35</definedName>
    <definedName name="Cf">'Calculations'!$C$14</definedName>
    <definedName name="Cf_Act">'Sheet3'!$E$35</definedName>
    <definedName name="Cfa">'Calculations'!$C$12</definedName>
    <definedName name="Cfb">'Calculations'!$C$13</definedName>
    <definedName name="CIN">'Sheet3'!$M$21</definedName>
    <definedName name="CIN_ESR">'Sheet3'!$M$22</definedName>
    <definedName name="DUTY">'Calculations'!$C$3</definedName>
    <definedName name="EFF">'Sheet3'!$I$9</definedName>
    <definedName name="ESR">'Calculations'!#REF!</definedName>
    <definedName name="FSW">'Sheet3'!$I$10</definedName>
    <definedName name="IOUT">'Sheet3'!$I$8</definedName>
    <definedName name="IRMS_Cd">'Calculations'!$C$27</definedName>
    <definedName name="IRMSTOT">'Calculations'!$C$26</definedName>
    <definedName name="Lf">'Sheet3'!$F$15</definedName>
    <definedName name="VIN">'Sheet3'!$I$6</definedName>
    <definedName name="VLIMIT">'Sheet3'!$I$11</definedName>
    <definedName name="VOUT">'Sheet3'!$I$7</definedName>
    <definedName name="ZCd">'Calculations'!$C$23</definedName>
    <definedName name="ZCIN">'Calculations'!$C$24</definedName>
  </definedNames>
  <calcPr fullCalcOnLoad="1"/>
</workbook>
</file>

<file path=xl/sharedStrings.xml><?xml version="1.0" encoding="utf-8"?>
<sst xmlns="http://schemas.openxmlformats.org/spreadsheetml/2006/main" count="96" uniqueCount="74">
  <si>
    <t>V</t>
  </si>
  <si>
    <t>A</t>
  </si>
  <si>
    <t>uF</t>
  </si>
  <si>
    <t>kHz</t>
  </si>
  <si>
    <t>Duty Cycle</t>
  </si>
  <si>
    <t>Target Atten.</t>
  </si>
  <si>
    <t>dB</t>
  </si>
  <si>
    <t>Filter Inductor</t>
  </si>
  <si>
    <t>Irms rating</t>
  </si>
  <si>
    <t>Filter Capacitor</t>
  </si>
  <si>
    <t>Cf</t>
  </si>
  <si>
    <r>
      <t xml:space="preserve">Cd </t>
    </r>
    <r>
      <rPr>
        <sz val="11"/>
        <color indexed="8"/>
        <rFont val="Calibri"/>
        <family val="2"/>
      </rPr>
      <t>≥</t>
    </r>
  </si>
  <si>
    <t>Ω</t>
  </si>
  <si>
    <t>Damping Capacitor</t>
  </si>
  <si>
    <t>Cfa calculation</t>
  </si>
  <si>
    <t>Cfb calculation</t>
  </si>
  <si>
    <t>Cd impedance</t>
  </si>
  <si>
    <t>CIN impedance</t>
  </si>
  <si>
    <t>IRMS CIN</t>
  </si>
  <si>
    <t>IRMS Total Input Cap</t>
  </si>
  <si>
    <t>Cd ESR ≥</t>
  </si>
  <si>
    <t>IRMS Cd Act</t>
  </si>
  <si>
    <t>List</t>
  </si>
  <si>
    <t>Search value:</t>
  </si>
  <si>
    <t>Closest value:</t>
  </si>
  <si>
    <t>Cf Actual</t>
  </si>
  <si>
    <t>calculated duty cycle</t>
  </si>
  <si>
    <t>calculated attenuation</t>
  </si>
  <si>
    <t>calculated suggested IRMS rating</t>
  </si>
  <si>
    <t>calculated value</t>
  </si>
  <si>
    <t>suggested standard value filter capacitor</t>
  </si>
  <si>
    <t>calculated Cd impedance at the sw. frequency</t>
  </si>
  <si>
    <t>calculated CIN impedance at the sw. frequency</t>
  </si>
  <si>
    <t>CIN and Cd Capacitors Current Sharing and Rating</t>
  </si>
  <si>
    <t>calculated total IRMS current for CIN and Cd combined</t>
  </si>
  <si>
    <t>Calculated min IRMS current rating for Cd</t>
  </si>
  <si>
    <t>Calculated min IRMS current rating for CIN</t>
  </si>
  <si>
    <t>suggested range between 1uH and 10uH</t>
  </si>
  <si>
    <t>Lf =</t>
  </si>
  <si>
    <t xml:space="preserve">CIN = </t>
  </si>
  <si>
    <t xml:space="preserve">CIN ESR = </t>
  </si>
  <si>
    <t>Enter input voltage:</t>
  </si>
  <si>
    <t>Enter output voltage:</t>
  </si>
  <si>
    <t>Enter output current:</t>
  </si>
  <si>
    <t>Enter estimated efficiency:</t>
  </si>
  <si>
    <t>Enter switching frequency:</t>
  </si>
  <si>
    <t>Enter the max noise level:</t>
  </si>
  <si>
    <t>VIN =</t>
  </si>
  <si>
    <t>VOUT =</t>
  </si>
  <si>
    <t>IOUT =</t>
  </si>
  <si>
    <t>EFF =</t>
  </si>
  <si>
    <t>FSW =</t>
  </si>
  <si>
    <t>VMAX =</t>
  </si>
  <si>
    <t>Buck Regulator Input Filter Calculator for Conducted EMI Compliance</t>
  </si>
  <si>
    <t xml:space="preserve">source: AN-2162 </t>
  </si>
  <si>
    <t xml:space="preserve">Cf = </t>
  </si>
  <si>
    <t>SUGGESTED MIN Cf VALUE:</t>
  </si>
  <si>
    <t>ENTER CIN VALUE:</t>
  </si>
  <si>
    <t>ENTER Lf VALUE:</t>
  </si>
  <si>
    <t>SUGGESTED MIN Cd CAPACITANCE:</t>
  </si>
  <si>
    <t>SUGGESTED MIN Cd ESR:</t>
  </si>
  <si>
    <r>
      <t xml:space="preserve">Cd </t>
    </r>
    <r>
      <rPr>
        <b/>
        <sz val="11"/>
        <color indexed="60"/>
        <rFont val="Calibri"/>
        <family val="2"/>
      </rPr>
      <t>≥</t>
    </r>
  </si>
  <si>
    <r>
      <t xml:space="preserve">Cd ESR </t>
    </r>
    <r>
      <rPr>
        <b/>
        <sz val="11"/>
        <color indexed="60"/>
        <rFont val="Calibri"/>
        <family val="2"/>
      </rPr>
      <t>≥</t>
    </r>
  </si>
  <si>
    <t>ENTER ACTUAL VALUES:</t>
  </si>
  <si>
    <t>FILTER SUMMARY:</t>
  </si>
  <si>
    <t>ENTER ACTUAL VALUE</t>
  </si>
  <si>
    <t>Cd =</t>
  </si>
  <si>
    <t>Cd ESR =</t>
  </si>
  <si>
    <r>
      <t>dB</t>
    </r>
    <r>
      <rPr>
        <sz val="11"/>
        <rFont val="Times New Roman"/>
        <family val="1"/>
      </rPr>
      <t>μ</t>
    </r>
    <r>
      <rPr>
        <sz val="11"/>
        <rFont val="Calibri"/>
        <family val="2"/>
      </rPr>
      <t>V</t>
    </r>
  </si>
  <si>
    <t>(i.e. 45dBμV for CISPR 22)</t>
  </si>
  <si>
    <t>μF</t>
  </si>
  <si>
    <t>μH</t>
  </si>
  <si>
    <t>Cf ≥</t>
  </si>
  <si>
    <t>Note that Cf must be a low ESR capacitor. 
If ceramic is used, take into account the capacitance drop at the Va bias voltage and add more caps in parallel if needed.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</si>
</sst>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0.0000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color indexed="60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62"/>
      <name val="Calibri"/>
      <family val="2"/>
    </font>
    <font>
      <b/>
      <sz val="11"/>
      <color indexed="17"/>
      <name val="Calibri"/>
      <family val="2"/>
    </font>
    <font>
      <b/>
      <sz val="12"/>
      <color indexed="8"/>
      <name val="Calibri"/>
      <family val="2"/>
    </font>
    <font>
      <sz val="8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Arial"/>
      <family val="2"/>
    </font>
    <font>
      <b/>
      <sz val="11"/>
      <color indexed="53"/>
      <name val="Calibri"/>
      <family val="2"/>
    </font>
    <font>
      <b/>
      <sz val="8"/>
      <color indexed="53"/>
      <name val="Calibri"/>
      <family val="2"/>
    </font>
    <font>
      <sz val="11"/>
      <color indexed="53"/>
      <name val="Calibri"/>
      <family val="2"/>
    </font>
    <font>
      <b/>
      <sz val="11"/>
      <color indexed="53"/>
      <name val="Arial"/>
      <family val="2"/>
    </font>
    <font>
      <b/>
      <u val="single"/>
      <sz val="8"/>
      <color indexed="62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theme="4"/>
      <name val="Calibri"/>
      <family val="2"/>
    </font>
    <font>
      <b/>
      <sz val="11"/>
      <color rgb="FF00B050"/>
      <name val="Calibri"/>
      <family val="2"/>
    </font>
    <font>
      <sz val="11"/>
      <color rgb="FF00B050"/>
      <name val="Calibri"/>
      <family val="2"/>
    </font>
    <font>
      <b/>
      <sz val="12"/>
      <color theme="1"/>
      <name val="Calibri"/>
      <family val="2"/>
    </font>
    <font>
      <sz val="8"/>
      <color theme="1"/>
      <name val="Calibri"/>
      <family val="2"/>
    </font>
    <font>
      <b/>
      <sz val="11"/>
      <color rgb="FFFF0000"/>
      <name val="Calibri"/>
      <family val="2"/>
    </font>
    <font>
      <b/>
      <sz val="11"/>
      <color rgb="FFFF0000"/>
      <name val="Arial"/>
      <family val="2"/>
    </font>
    <font>
      <b/>
      <sz val="11"/>
      <color theme="5" tint="-0.24997000396251678"/>
      <name val="Calibri"/>
      <family val="2"/>
    </font>
    <font>
      <b/>
      <sz val="8"/>
      <color theme="5" tint="-0.24997000396251678"/>
      <name val="Calibri"/>
      <family val="2"/>
    </font>
    <font>
      <sz val="11"/>
      <color theme="5" tint="-0.24997000396251678"/>
      <name val="Calibri"/>
      <family val="2"/>
    </font>
    <font>
      <b/>
      <sz val="11"/>
      <color theme="5" tint="-0.24997000396251678"/>
      <name val="Arial"/>
      <family val="2"/>
    </font>
    <font>
      <b/>
      <u val="single"/>
      <sz val="8"/>
      <color theme="4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>
        <color theme="4"/>
      </left>
      <right>
        <color indexed="63"/>
      </right>
      <top style="medium">
        <color theme="4"/>
      </top>
      <bottom>
        <color indexed="63"/>
      </bottom>
    </border>
    <border>
      <left>
        <color indexed="63"/>
      </left>
      <right>
        <color indexed="63"/>
      </right>
      <top style="medium">
        <color theme="4"/>
      </top>
      <bottom>
        <color indexed="63"/>
      </bottom>
    </border>
    <border>
      <left>
        <color indexed="63"/>
      </left>
      <right style="medium">
        <color theme="4"/>
      </right>
      <top style="medium">
        <color theme="4"/>
      </top>
      <bottom>
        <color indexed="63"/>
      </bottom>
    </border>
    <border>
      <left style="medium">
        <color theme="4"/>
      </left>
      <right>
        <color indexed="63"/>
      </right>
      <top>
        <color indexed="63"/>
      </top>
      <bottom style="medium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/>
      </bottom>
    </border>
    <border>
      <left>
        <color indexed="63"/>
      </left>
      <right style="medium">
        <color theme="4"/>
      </right>
      <top>
        <color indexed="63"/>
      </top>
      <bottom style="medium">
        <color theme="4"/>
      </bottom>
    </border>
    <border>
      <left style="medium">
        <color theme="4"/>
      </left>
      <right style="medium">
        <color theme="4"/>
      </right>
      <top style="medium">
        <color theme="4"/>
      </top>
      <bottom style="medium">
        <color theme="4"/>
      </bottom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>
        <color theme="5" tint="-0.24997000396251678"/>
      </left>
      <right style="medium">
        <color theme="5" tint="-0.24997000396251678"/>
      </right>
      <top style="medium">
        <color theme="5" tint="-0.24997000396251678"/>
      </top>
      <bottom style="medium">
        <color theme="5" tint="-0.24997000396251678"/>
      </bottom>
    </border>
    <border>
      <left style="medium">
        <color theme="5" tint="-0.24997000396251678"/>
      </left>
      <right>
        <color indexed="63"/>
      </right>
      <top style="medium">
        <color theme="5" tint="-0.24997000396251678"/>
      </top>
      <bottom>
        <color indexed="63"/>
      </bottom>
    </border>
    <border>
      <left>
        <color indexed="63"/>
      </left>
      <right>
        <color indexed="63"/>
      </right>
      <top style="medium">
        <color theme="5" tint="-0.24997000396251678"/>
      </top>
      <bottom>
        <color indexed="63"/>
      </bottom>
    </border>
    <border>
      <left>
        <color indexed="63"/>
      </left>
      <right style="medium">
        <color theme="5" tint="-0.24997000396251678"/>
      </right>
      <top style="medium">
        <color theme="5" tint="-0.24997000396251678"/>
      </top>
      <bottom>
        <color indexed="63"/>
      </bottom>
    </border>
    <border>
      <left style="medium">
        <color theme="5" tint="-0.2499700039625167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5" tint="-0.2499700039625167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theme="5" tint="-0.24997000396251678"/>
      </bottom>
    </border>
    <border>
      <left>
        <color indexed="63"/>
      </left>
      <right style="medium">
        <color theme="5" tint="-0.24997000396251678"/>
      </right>
      <top>
        <color indexed="63"/>
      </top>
      <bottom style="medium">
        <color theme="5" tint="-0.24997000396251678"/>
      </bottom>
    </border>
    <border>
      <left style="medium">
        <color theme="5" tint="-0.24997000396251678"/>
      </left>
      <right>
        <color indexed="63"/>
      </right>
      <top>
        <color indexed="63"/>
      </top>
      <bottom style="medium">
        <color theme="5" tint="-0.24997000396251678"/>
      </bottom>
    </border>
    <border>
      <left style="medium">
        <color theme="5" tint="-0.24997000396251678"/>
      </left>
      <right style="medium">
        <color theme="5" tint="-0.24997000396251678"/>
      </right>
      <top style="medium">
        <color theme="5" tint="-0.24997000396251678"/>
      </top>
      <bottom>
        <color indexed="63"/>
      </bottom>
    </border>
    <border>
      <left style="medium">
        <color theme="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4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17">
    <xf numFmtId="0" fontId="0" fillId="0" borderId="0" xfId="0" applyFont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0" fillId="0" borderId="0" xfId="0" applyAlignment="1">
      <alignment horizontal="right"/>
    </xf>
    <xf numFmtId="0" fontId="52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right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168" fontId="0" fillId="0" borderId="0" xfId="0" applyNumberFormat="1" applyBorder="1" applyAlignment="1">
      <alignment/>
    </xf>
    <xf numFmtId="0" fontId="54" fillId="0" borderId="0" xfId="0" applyFont="1" applyBorder="1" applyAlignment="1">
      <alignment/>
    </xf>
    <xf numFmtId="0" fontId="0" fillId="0" borderId="13" xfId="0" applyBorder="1" applyAlignment="1">
      <alignment/>
    </xf>
    <xf numFmtId="0" fontId="52" fillId="0" borderId="13" xfId="0" applyFont="1" applyBorder="1" applyAlignment="1">
      <alignment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169" fontId="0" fillId="0" borderId="0" xfId="0" applyNumberFormat="1" applyBorder="1" applyAlignment="1">
      <alignment horizontal="right"/>
    </xf>
    <xf numFmtId="0" fontId="0" fillId="33" borderId="15" xfId="0" applyFill="1" applyBorder="1" applyAlignment="1">
      <alignment horizontal="right"/>
    </xf>
    <xf numFmtId="168" fontId="0" fillId="33" borderId="0" xfId="0" applyNumberFormat="1" applyFill="1" applyBorder="1" applyAlignment="1">
      <alignment/>
    </xf>
    <xf numFmtId="168" fontId="0" fillId="33" borderId="16" xfId="0" applyNumberForma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34" borderId="0" xfId="0" applyFont="1" applyFill="1" applyBorder="1" applyAlignment="1">
      <alignment/>
    </xf>
    <xf numFmtId="0" fontId="2" fillId="34" borderId="0" xfId="0" applyFont="1" applyFill="1" applyBorder="1" applyAlignment="1">
      <alignment horizontal="right"/>
    </xf>
    <xf numFmtId="0" fontId="2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6" xfId="0" applyFont="1" applyFill="1" applyBorder="1" applyAlignment="1">
      <alignment horizontal="right"/>
    </xf>
    <xf numFmtId="0" fontId="2" fillId="34" borderId="17" xfId="0" applyFont="1" applyFill="1" applyBorder="1" applyAlignment="1">
      <alignment/>
    </xf>
    <xf numFmtId="0" fontId="2" fillId="35" borderId="10" xfId="0" applyFont="1" applyFill="1" applyBorder="1" applyAlignment="1">
      <alignment horizontal="left"/>
    </xf>
    <xf numFmtId="0" fontId="2" fillId="35" borderId="11" xfId="0" applyFont="1" applyFill="1" applyBorder="1" applyAlignment="1">
      <alignment/>
    </xf>
    <xf numFmtId="0" fontId="2" fillId="35" borderId="11" xfId="0" applyFont="1" applyFill="1" applyBorder="1" applyAlignment="1">
      <alignment horizontal="right"/>
    </xf>
    <xf numFmtId="0" fontId="2" fillId="35" borderId="12" xfId="0" applyFont="1" applyFill="1" applyBorder="1" applyAlignment="1">
      <alignment/>
    </xf>
    <xf numFmtId="0" fontId="2" fillId="35" borderId="13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2" fillId="35" borderId="0" xfId="0" applyFont="1" applyFill="1" applyBorder="1" applyAlignment="1">
      <alignment horizontal="right"/>
    </xf>
    <xf numFmtId="0" fontId="2" fillId="35" borderId="14" xfId="0" applyFont="1" applyFill="1" applyBorder="1" applyAlignment="1">
      <alignment/>
    </xf>
    <xf numFmtId="0" fontId="2" fillId="35" borderId="18" xfId="0" applyFont="1" applyFill="1" applyBorder="1" applyAlignment="1">
      <alignment horizontal="left"/>
    </xf>
    <xf numFmtId="0" fontId="2" fillId="34" borderId="18" xfId="0" applyFont="1" applyFill="1" applyBorder="1" applyAlignment="1">
      <alignment horizontal="left"/>
    </xf>
    <xf numFmtId="9" fontId="2" fillId="34" borderId="18" xfId="59" applyFont="1" applyFill="1" applyBorder="1" applyAlignment="1">
      <alignment horizontal="left"/>
    </xf>
    <xf numFmtId="0" fontId="0" fillId="34" borderId="0" xfId="0" applyFill="1" applyAlignment="1">
      <alignment/>
    </xf>
    <xf numFmtId="0" fontId="0" fillId="34" borderId="0" xfId="0" applyFill="1" applyAlignment="1">
      <alignment horizontal="right"/>
    </xf>
    <xf numFmtId="0" fontId="55" fillId="34" borderId="19" xfId="0" applyFont="1" applyFill="1" applyBorder="1" applyAlignment="1">
      <alignment/>
    </xf>
    <xf numFmtId="0" fontId="55" fillId="34" borderId="20" xfId="0" applyFont="1" applyFill="1" applyBorder="1" applyAlignment="1">
      <alignment/>
    </xf>
    <xf numFmtId="0" fontId="55" fillId="34" borderId="21" xfId="0" applyFont="1" applyFill="1" applyBorder="1" applyAlignment="1">
      <alignment/>
    </xf>
    <xf numFmtId="0" fontId="55" fillId="34" borderId="22" xfId="0" applyFont="1" applyFill="1" applyBorder="1" applyAlignment="1">
      <alignment/>
    </xf>
    <xf numFmtId="0" fontId="55" fillId="34" borderId="23" xfId="0" applyFont="1" applyFill="1" applyBorder="1" applyAlignment="1">
      <alignment/>
    </xf>
    <xf numFmtId="0" fontId="55" fillId="34" borderId="23" xfId="0" applyFont="1" applyFill="1" applyBorder="1" applyAlignment="1">
      <alignment horizontal="right"/>
    </xf>
    <xf numFmtId="0" fontId="55" fillId="34" borderId="24" xfId="0" applyFont="1" applyFill="1" applyBorder="1" applyAlignment="1">
      <alignment/>
    </xf>
    <xf numFmtId="0" fontId="55" fillId="34" borderId="25" xfId="0" applyFont="1" applyFill="1" applyBorder="1" applyAlignment="1">
      <alignment horizontal="left"/>
    </xf>
    <xf numFmtId="0" fontId="56" fillId="34" borderId="0" xfId="0" applyFont="1" applyFill="1" applyAlignment="1">
      <alignment/>
    </xf>
    <xf numFmtId="0" fontId="57" fillId="34" borderId="0" xfId="0" applyFont="1" applyFill="1" applyAlignment="1">
      <alignment/>
    </xf>
    <xf numFmtId="0" fontId="56" fillId="34" borderId="0" xfId="0" applyFont="1" applyFill="1" applyBorder="1" applyAlignment="1">
      <alignment horizontal="right"/>
    </xf>
    <xf numFmtId="0" fontId="56" fillId="34" borderId="26" xfId="0" applyFont="1" applyFill="1" applyBorder="1" applyAlignment="1">
      <alignment horizontal="center"/>
    </xf>
    <xf numFmtId="0" fontId="56" fillId="34" borderId="0" xfId="0" applyFont="1" applyFill="1" applyBorder="1" applyAlignment="1">
      <alignment/>
    </xf>
    <xf numFmtId="0" fontId="52" fillId="34" borderId="0" xfId="0" applyFont="1" applyFill="1" applyBorder="1" applyAlignment="1">
      <alignment/>
    </xf>
    <xf numFmtId="0" fontId="52" fillId="34" borderId="14" xfId="0" applyFont="1" applyFill="1" applyBorder="1" applyAlignment="1">
      <alignment/>
    </xf>
    <xf numFmtId="0" fontId="52" fillId="34" borderId="0" xfId="0" applyFont="1" applyFill="1" applyAlignment="1">
      <alignment/>
    </xf>
    <xf numFmtId="0" fontId="58" fillId="34" borderId="0" xfId="0" applyFont="1" applyFill="1" applyAlignment="1">
      <alignment/>
    </xf>
    <xf numFmtId="0" fontId="59" fillId="34" borderId="0" xfId="0" applyFont="1" applyFill="1" applyAlignment="1">
      <alignment/>
    </xf>
    <xf numFmtId="0" fontId="60" fillId="34" borderId="0" xfId="0" applyFont="1" applyFill="1" applyAlignment="1">
      <alignment/>
    </xf>
    <xf numFmtId="0" fontId="61" fillId="34" borderId="0" xfId="0" applyFont="1" applyFill="1" applyAlignment="1">
      <alignment/>
    </xf>
    <xf numFmtId="0" fontId="60" fillId="34" borderId="0" xfId="0" applyFont="1" applyFill="1" applyAlignment="1">
      <alignment horizontal="right"/>
    </xf>
    <xf numFmtId="0" fontId="60" fillId="34" borderId="27" xfId="0" applyFont="1" applyFill="1" applyBorder="1" applyAlignment="1">
      <alignment horizontal="left"/>
    </xf>
    <xf numFmtId="0" fontId="62" fillId="34" borderId="0" xfId="0" applyFont="1" applyFill="1" applyBorder="1" applyAlignment="1">
      <alignment/>
    </xf>
    <xf numFmtId="0" fontId="62" fillId="34" borderId="0" xfId="0" applyFont="1" applyFill="1" applyBorder="1" applyAlignment="1">
      <alignment horizontal="right"/>
    </xf>
    <xf numFmtId="0" fontId="63" fillId="34" borderId="0" xfId="0" applyFont="1" applyFill="1" applyBorder="1" applyAlignment="1">
      <alignment vertical="top" wrapText="1"/>
    </xf>
    <xf numFmtId="0" fontId="64" fillId="34" borderId="0" xfId="0" applyFont="1" applyFill="1" applyBorder="1" applyAlignment="1">
      <alignment/>
    </xf>
    <xf numFmtId="0" fontId="62" fillId="34" borderId="28" xfId="0" applyFont="1" applyFill="1" applyBorder="1" applyAlignment="1">
      <alignment horizontal="left"/>
    </xf>
    <xf numFmtId="0" fontId="63" fillId="34" borderId="0" xfId="0" applyFont="1" applyFill="1" applyBorder="1" applyAlignment="1">
      <alignment horizontal="left" vertical="top" wrapText="1"/>
    </xf>
    <xf numFmtId="0" fontId="62" fillId="34" borderId="28" xfId="0" applyFont="1" applyFill="1" applyBorder="1" applyAlignment="1">
      <alignment horizontal="left" vertical="top" wrapText="1"/>
    </xf>
    <xf numFmtId="0" fontId="62" fillId="34" borderId="29" xfId="0" applyFont="1" applyFill="1" applyBorder="1" applyAlignment="1">
      <alignment/>
    </xf>
    <xf numFmtId="0" fontId="62" fillId="34" borderId="30" xfId="0" applyFont="1" applyFill="1" applyBorder="1" applyAlignment="1">
      <alignment/>
    </xf>
    <xf numFmtId="0" fontId="62" fillId="34" borderId="31" xfId="0" applyFont="1" applyFill="1" applyBorder="1" applyAlignment="1">
      <alignment/>
    </xf>
    <xf numFmtId="0" fontId="62" fillId="34" borderId="32" xfId="0" applyFont="1" applyFill="1" applyBorder="1" applyAlignment="1">
      <alignment/>
    </xf>
    <xf numFmtId="0" fontId="62" fillId="34" borderId="33" xfId="0" applyFont="1" applyFill="1" applyBorder="1" applyAlignment="1">
      <alignment/>
    </xf>
    <xf numFmtId="0" fontId="63" fillId="34" borderId="33" xfId="0" applyFont="1" applyFill="1" applyBorder="1" applyAlignment="1">
      <alignment vertical="top" wrapText="1"/>
    </xf>
    <xf numFmtId="0" fontId="63" fillId="34" borderId="32" xfId="0" applyFont="1" applyFill="1" applyBorder="1" applyAlignment="1">
      <alignment vertical="top" wrapText="1"/>
    </xf>
    <xf numFmtId="0" fontId="65" fillId="0" borderId="33" xfId="0" applyFont="1" applyBorder="1" applyAlignment="1">
      <alignment/>
    </xf>
    <xf numFmtId="0" fontId="62" fillId="34" borderId="34" xfId="0" applyFont="1" applyFill="1" applyBorder="1" applyAlignment="1">
      <alignment horizontal="right"/>
    </xf>
    <xf numFmtId="0" fontId="65" fillId="0" borderId="35" xfId="0" applyFont="1" applyBorder="1" applyAlignment="1">
      <alignment/>
    </xf>
    <xf numFmtId="0" fontId="64" fillId="34" borderId="32" xfId="0" applyFont="1" applyFill="1" applyBorder="1" applyAlignment="1">
      <alignment/>
    </xf>
    <xf numFmtId="0" fontId="64" fillId="34" borderId="36" xfId="0" applyFont="1" applyFill="1" applyBorder="1" applyAlignment="1">
      <alignment/>
    </xf>
    <xf numFmtId="0" fontId="64" fillId="34" borderId="34" xfId="0" applyFont="1" applyFill="1" applyBorder="1" applyAlignment="1">
      <alignment/>
    </xf>
    <xf numFmtId="0" fontId="62" fillId="34" borderId="37" xfId="0" applyFont="1" applyFill="1" applyBorder="1" applyAlignment="1">
      <alignment horizontal="left" vertical="top" wrapText="1"/>
    </xf>
    <xf numFmtId="0" fontId="63" fillId="34" borderId="30" xfId="0" applyFont="1" applyFill="1" applyBorder="1" applyAlignment="1">
      <alignment vertical="top" wrapText="1"/>
    </xf>
    <xf numFmtId="0" fontId="63" fillId="34" borderId="30" xfId="0" applyFont="1" applyFill="1" applyBorder="1" applyAlignment="1">
      <alignment horizontal="left" vertical="top" wrapText="1"/>
    </xf>
    <xf numFmtId="0" fontId="63" fillId="34" borderId="31" xfId="0" applyFont="1" applyFill="1" applyBorder="1" applyAlignment="1">
      <alignment vertical="top" wrapText="1"/>
    </xf>
    <xf numFmtId="0" fontId="46" fillId="34" borderId="0" xfId="53" applyFill="1" applyAlignment="1" applyProtection="1">
      <alignment/>
      <protection/>
    </xf>
    <xf numFmtId="0" fontId="0" fillId="34" borderId="0" xfId="0" applyFill="1" applyAlignment="1">
      <alignment vertical="center"/>
    </xf>
    <xf numFmtId="0" fontId="0" fillId="0" borderId="0" xfId="0" applyAlignment="1">
      <alignment vertical="center"/>
    </xf>
    <xf numFmtId="0" fontId="66" fillId="34" borderId="19" xfId="0" applyFont="1" applyFill="1" applyBorder="1" applyAlignment="1">
      <alignment horizontal="left" vertical="center" wrapText="1"/>
    </xf>
    <xf numFmtId="0" fontId="66" fillId="34" borderId="20" xfId="0" applyFont="1" applyFill="1" applyBorder="1" applyAlignment="1">
      <alignment horizontal="left" vertical="center" wrapText="1"/>
    </xf>
    <xf numFmtId="0" fontId="66" fillId="34" borderId="21" xfId="0" applyFont="1" applyFill="1" applyBorder="1" applyAlignment="1">
      <alignment horizontal="left" vertical="center" wrapText="1"/>
    </xf>
    <xf numFmtId="0" fontId="66" fillId="34" borderId="38" xfId="0" applyFont="1" applyFill="1" applyBorder="1" applyAlignment="1">
      <alignment horizontal="left" vertical="center" wrapText="1"/>
    </xf>
    <xf numFmtId="0" fontId="66" fillId="34" borderId="0" xfId="0" applyFont="1" applyFill="1" applyBorder="1" applyAlignment="1">
      <alignment horizontal="left" vertical="center" wrapText="1"/>
    </xf>
    <xf numFmtId="0" fontId="66" fillId="34" borderId="39" xfId="0" applyFont="1" applyFill="1" applyBorder="1" applyAlignment="1">
      <alignment horizontal="left" vertical="center" wrapText="1"/>
    </xf>
    <xf numFmtId="0" fontId="66" fillId="34" borderId="22" xfId="0" applyFont="1" applyFill="1" applyBorder="1" applyAlignment="1">
      <alignment horizontal="left" vertical="center" wrapText="1"/>
    </xf>
    <xf numFmtId="0" fontId="66" fillId="34" borderId="23" xfId="0" applyFont="1" applyFill="1" applyBorder="1" applyAlignment="1">
      <alignment horizontal="left" vertical="center" wrapText="1"/>
    </xf>
    <xf numFmtId="0" fontId="66" fillId="34" borderId="24" xfId="0" applyFont="1" applyFill="1" applyBorder="1" applyAlignment="1">
      <alignment horizontal="left" vertical="center" wrapText="1"/>
    </xf>
    <xf numFmtId="0" fontId="67" fillId="34" borderId="10" xfId="0" applyFont="1" applyFill="1" applyBorder="1" applyAlignment="1">
      <alignment horizontal="center" vertical="center"/>
    </xf>
    <xf numFmtId="0" fontId="67" fillId="34" borderId="11" xfId="0" applyFont="1" applyFill="1" applyBorder="1" applyAlignment="1">
      <alignment horizontal="center" vertical="center"/>
    </xf>
    <xf numFmtId="0" fontId="67" fillId="34" borderId="12" xfId="0" applyFont="1" applyFill="1" applyBorder="1" applyAlignment="1">
      <alignment horizontal="center" vertical="center"/>
    </xf>
    <xf numFmtId="0" fontId="67" fillId="34" borderId="13" xfId="0" applyFont="1" applyFill="1" applyBorder="1" applyAlignment="1">
      <alignment horizontal="left" vertical="center"/>
    </xf>
    <xf numFmtId="0" fontId="67" fillId="34" borderId="0" xfId="0" applyFont="1" applyFill="1" applyBorder="1" applyAlignment="1">
      <alignment horizontal="left" vertical="center"/>
    </xf>
    <xf numFmtId="0" fontId="67" fillId="34" borderId="14" xfId="0" applyFont="1" applyFill="1" applyBorder="1" applyAlignment="1">
      <alignment horizontal="left" vertical="center"/>
    </xf>
    <xf numFmtId="0" fontId="67" fillId="33" borderId="13" xfId="0" applyFont="1" applyFill="1" applyBorder="1" applyAlignment="1">
      <alignment horizontal="left" vertical="center"/>
    </xf>
    <xf numFmtId="0" fontId="67" fillId="33" borderId="0" xfId="0" applyFont="1" applyFill="1" applyBorder="1" applyAlignment="1">
      <alignment horizontal="left" vertical="center"/>
    </xf>
    <xf numFmtId="0" fontId="67" fillId="33" borderId="14" xfId="0" applyFont="1" applyFill="1" applyBorder="1" applyAlignment="1">
      <alignment horizontal="left" vertical="center"/>
    </xf>
    <xf numFmtId="0" fontId="67" fillId="33" borderId="15" xfId="0" applyFont="1" applyFill="1" applyBorder="1" applyAlignment="1">
      <alignment horizontal="left" vertical="center"/>
    </xf>
    <xf numFmtId="0" fontId="67" fillId="33" borderId="16" xfId="0" applyFont="1" applyFill="1" applyBorder="1" applyAlignment="1">
      <alignment horizontal="left" vertical="center"/>
    </xf>
    <xf numFmtId="0" fontId="67" fillId="33" borderId="17" xfId="0" applyFont="1" applyFill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15</xdr:row>
      <xdr:rowOff>28575</xdr:rowOff>
    </xdr:from>
    <xdr:to>
      <xdr:col>10</xdr:col>
      <xdr:colOff>285750</xdr:colOff>
      <xdr:row>26</xdr:row>
      <xdr:rowOff>171450</xdr:rowOff>
    </xdr:to>
    <xdr:pic>
      <xdr:nvPicPr>
        <xdr:cNvPr id="1" name="Picture 1" descr="30165349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790825"/>
          <a:ext cx="3810000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266700</xdr:colOff>
      <xdr:row>15</xdr:row>
      <xdr:rowOff>76200</xdr:rowOff>
    </xdr:from>
    <xdr:to>
      <xdr:col>6</xdr:col>
      <xdr:colOff>57150</xdr:colOff>
      <xdr:row>17</xdr:row>
      <xdr:rowOff>133350</xdr:rowOff>
    </xdr:to>
    <xdr:sp>
      <xdr:nvSpPr>
        <xdr:cNvPr id="2" name="Rectangle 2"/>
        <xdr:cNvSpPr>
          <a:spLocks/>
        </xdr:cNvSpPr>
      </xdr:nvSpPr>
      <xdr:spPr>
        <a:xfrm>
          <a:off x="1495425" y="2838450"/>
          <a:ext cx="523875" cy="438150"/>
        </a:xfrm>
        <a:prstGeom prst="rect">
          <a:avLst/>
        </a:prstGeom>
        <a:noFill/>
        <a:ln w="12700" cmpd="sng">
          <a:solidFill>
            <a:srgbClr val="00B05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323850</xdr:colOff>
      <xdr:row>18</xdr:row>
      <xdr:rowOff>114300</xdr:rowOff>
    </xdr:from>
    <xdr:to>
      <xdr:col>8</xdr:col>
      <xdr:colOff>190500</xdr:colOff>
      <xdr:row>22</xdr:row>
      <xdr:rowOff>9525</xdr:rowOff>
    </xdr:to>
    <xdr:sp>
      <xdr:nvSpPr>
        <xdr:cNvPr id="3" name="Rectangle 3"/>
        <xdr:cNvSpPr>
          <a:spLocks/>
        </xdr:cNvSpPr>
      </xdr:nvSpPr>
      <xdr:spPr>
        <a:xfrm>
          <a:off x="2743200" y="3448050"/>
          <a:ext cx="476250" cy="685800"/>
        </a:xfrm>
        <a:prstGeom prst="rect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342900</xdr:colOff>
      <xdr:row>18</xdr:row>
      <xdr:rowOff>114300</xdr:rowOff>
    </xdr:from>
    <xdr:to>
      <xdr:col>5</xdr:col>
      <xdr:colOff>57150</xdr:colOff>
      <xdr:row>22</xdr:row>
      <xdr:rowOff>9525</xdr:rowOff>
    </xdr:to>
    <xdr:sp>
      <xdr:nvSpPr>
        <xdr:cNvPr id="4" name="Rectangle 4"/>
        <xdr:cNvSpPr>
          <a:spLocks/>
        </xdr:cNvSpPr>
      </xdr:nvSpPr>
      <xdr:spPr>
        <a:xfrm>
          <a:off x="1123950" y="3448050"/>
          <a:ext cx="504825" cy="685800"/>
        </a:xfrm>
        <a:prstGeom prst="rect">
          <a:avLst/>
        </a:prstGeom>
        <a:noFill/>
        <a:ln w="12700" cmpd="sng">
          <a:solidFill>
            <a:srgbClr val="8497B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200025</xdr:colOff>
      <xdr:row>18</xdr:row>
      <xdr:rowOff>114300</xdr:rowOff>
    </xdr:from>
    <xdr:to>
      <xdr:col>7</xdr:col>
      <xdr:colOff>257175</xdr:colOff>
      <xdr:row>22</xdr:row>
      <xdr:rowOff>9525</xdr:rowOff>
    </xdr:to>
    <xdr:sp>
      <xdr:nvSpPr>
        <xdr:cNvPr id="5" name="Rectangle 5"/>
        <xdr:cNvSpPr>
          <a:spLocks/>
        </xdr:cNvSpPr>
      </xdr:nvSpPr>
      <xdr:spPr>
        <a:xfrm>
          <a:off x="2162175" y="3448050"/>
          <a:ext cx="514350" cy="685800"/>
        </a:xfrm>
        <a:prstGeom prst="rect">
          <a:avLst/>
        </a:prstGeom>
        <a:noFill/>
        <a:ln w="12700" cmpd="sng">
          <a:solidFill>
            <a:srgbClr val="C55A11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12</xdr:col>
      <xdr:colOff>447675</xdr:colOff>
      <xdr:row>2</xdr:row>
      <xdr:rowOff>28575</xdr:rowOff>
    </xdr:from>
    <xdr:to>
      <xdr:col>13</xdr:col>
      <xdr:colOff>390525</xdr:colOff>
      <xdr:row>4</xdr:row>
      <xdr:rowOff>28575</xdr:rowOff>
    </xdr:to>
    <xdr:pic>
      <xdr:nvPicPr>
        <xdr:cNvPr id="6" name="Picture 63" descr="http://api.qrserver.com/v1/create-qr-code/?data=http%3A%2F%2Fwww.national.com%2Fan%2FAN%2FAN-2162.pdf&amp;size=250x2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00675" y="400050"/>
          <a:ext cx="390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ational.com/an/AN/AN-2162.pdf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tabSelected="1" zoomScale="145" zoomScaleNormal="145" zoomScalePageLayoutView="0" workbookViewId="0" topLeftCell="A1">
      <selection activeCell="M2" sqref="M2"/>
    </sheetView>
  </sheetViews>
  <sheetFormatPr defaultColWidth="9.140625" defaultRowHeight="15"/>
  <cols>
    <col min="1" max="1" width="2.00390625" style="25" customWidth="1"/>
    <col min="2" max="2" width="5.7109375" style="25" customWidth="1"/>
    <col min="3" max="3" width="4.00390625" style="25" customWidth="1"/>
    <col min="4" max="4" width="6.7109375" style="25" customWidth="1"/>
    <col min="5" max="5" width="5.140625" style="25" customWidth="1"/>
    <col min="6" max="6" width="5.8515625" style="25" customWidth="1"/>
    <col min="7" max="7" width="6.8515625" style="25" customWidth="1"/>
    <col min="8" max="8" width="9.140625" style="25" customWidth="1"/>
    <col min="9" max="10" width="5.57421875" style="25" customWidth="1"/>
    <col min="11" max="11" width="8.00390625" style="25" customWidth="1"/>
    <col min="12" max="12" width="9.7109375" style="25" customWidth="1"/>
    <col min="13" max="13" width="6.7109375" style="25" customWidth="1"/>
    <col min="14" max="16384" width="9.140625" style="25" customWidth="1"/>
  </cols>
  <sheetData>
    <row r="1" spans="2:14" ht="15">
      <c r="B1" s="45"/>
      <c r="C1" s="45"/>
      <c r="D1" s="63" t="s">
        <v>53</v>
      </c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3:14" ht="14.25">
      <c r="C2" s="45"/>
      <c r="D2" s="45"/>
      <c r="E2" s="45"/>
      <c r="F2" s="45"/>
      <c r="G2" s="45"/>
      <c r="H2" s="45"/>
      <c r="I2" s="45"/>
      <c r="J2" s="45"/>
      <c r="K2" s="45"/>
      <c r="L2" s="45"/>
      <c r="M2" s="93" t="s">
        <v>54</v>
      </c>
      <c r="N2" s="45"/>
    </row>
    <row r="3" spans="2:14" ht="15"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64"/>
      <c r="N3" s="45"/>
    </row>
    <row r="4" spans="2:14" ht="15"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64"/>
      <c r="N4" s="45"/>
    </row>
    <row r="5" spans="2:14" ht="15.75" thickBot="1"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64"/>
      <c r="N5" s="45"/>
    </row>
    <row r="6" spans="2:14" ht="14.25" thickBot="1">
      <c r="B6" s="45"/>
      <c r="C6" s="45"/>
      <c r="D6" s="34" t="s">
        <v>41</v>
      </c>
      <c r="E6" s="35"/>
      <c r="F6" s="35"/>
      <c r="G6" s="35"/>
      <c r="H6" s="36" t="s">
        <v>47</v>
      </c>
      <c r="I6" s="42">
        <v>12</v>
      </c>
      <c r="J6" s="35" t="s">
        <v>0</v>
      </c>
      <c r="K6" s="35"/>
      <c r="L6" s="35"/>
      <c r="M6" s="37"/>
      <c r="N6" s="45"/>
    </row>
    <row r="7" spans="2:14" ht="14.25" thickBot="1">
      <c r="B7" s="45"/>
      <c r="C7" s="45"/>
      <c r="D7" s="28" t="s">
        <v>42</v>
      </c>
      <c r="E7" s="26"/>
      <c r="F7" s="26"/>
      <c r="G7" s="26"/>
      <c r="H7" s="27" t="s">
        <v>48</v>
      </c>
      <c r="I7" s="43">
        <v>3.3</v>
      </c>
      <c r="J7" s="26" t="s">
        <v>0</v>
      </c>
      <c r="K7" s="26"/>
      <c r="L7" s="26"/>
      <c r="M7" s="29"/>
      <c r="N7" s="45"/>
    </row>
    <row r="8" spans="2:14" ht="14.25" thickBot="1">
      <c r="B8" s="45"/>
      <c r="C8" s="45"/>
      <c r="D8" s="38" t="s">
        <v>43</v>
      </c>
      <c r="E8" s="39"/>
      <c r="F8" s="39"/>
      <c r="G8" s="39"/>
      <c r="H8" s="40" t="s">
        <v>49</v>
      </c>
      <c r="I8" s="42">
        <v>5</v>
      </c>
      <c r="J8" s="39" t="s">
        <v>1</v>
      </c>
      <c r="K8" s="39"/>
      <c r="L8" s="39"/>
      <c r="M8" s="41"/>
      <c r="N8" s="45"/>
    </row>
    <row r="9" spans="2:14" ht="14.25" thickBot="1">
      <c r="B9" s="45"/>
      <c r="C9" s="45"/>
      <c r="D9" s="28" t="s">
        <v>44</v>
      </c>
      <c r="E9" s="26"/>
      <c r="F9" s="26"/>
      <c r="G9" s="26"/>
      <c r="H9" s="27" t="s">
        <v>50</v>
      </c>
      <c r="I9" s="44">
        <v>0.9</v>
      </c>
      <c r="J9" s="26"/>
      <c r="K9" s="26"/>
      <c r="L9" s="26"/>
      <c r="M9" s="29"/>
      <c r="N9" s="45"/>
    </row>
    <row r="10" spans="2:14" ht="14.25" thickBot="1">
      <c r="B10" s="45"/>
      <c r="C10" s="46"/>
      <c r="D10" s="38" t="s">
        <v>45</v>
      </c>
      <c r="E10" s="39"/>
      <c r="F10" s="39"/>
      <c r="G10" s="39"/>
      <c r="H10" s="40" t="s">
        <v>51</v>
      </c>
      <c r="I10" s="42">
        <v>500</v>
      </c>
      <c r="J10" s="39" t="s">
        <v>3</v>
      </c>
      <c r="K10" s="39"/>
      <c r="L10" s="39"/>
      <c r="M10" s="41"/>
      <c r="N10" s="45"/>
    </row>
    <row r="11" spans="2:14" ht="14.25" thickBot="1">
      <c r="B11" s="45"/>
      <c r="C11" s="46"/>
      <c r="D11" s="30" t="s">
        <v>46</v>
      </c>
      <c r="E11" s="31"/>
      <c r="F11" s="31"/>
      <c r="G11" s="31"/>
      <c r="H11" s="32" t="s">
        <v>52</v>
      </c>
      <c r="I11" s="43">
        <v>45</v>
      </c>
      <c r="J11" s="31" t="s">
        <v>68</v>
      </c>
      <c r="K11" s="31" t="s">
        <v>69</v>
      </c>
      <c r="L11" s="31"/>
      <c r="M11" s="33"/>
      <c r="N11" s="45"/>
    </row>
    <row r="12" spans="2:14" ht="14.25">
      <c r="B12" s="45"/>
      <c r="C12" s="46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</row>
    <row r="13" spans="2:14" ht="14.25">
      <c r="B13" s="45"/>
      <c r="C13" s="46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</row>
    <row r="14" spans="2:14" ht="14.25" thickBot="1">
      <c r="B14" s="45"/>
      <c r="C14" s="45"/>
      <c r="D14" s="45"/>
      <c r="E14" s="55" t="s">
        <v>58</v>
      </c>
      <c r="F14" s="56"/>
      <c r="G14" s="56"/>
      <c r="H14" s="45"/>
      <c r="I14" s="45"/>
      <c r="J14" s="45"/>
      <c r="K14" s="45"/>
      <c r="L14" s="45"/>
      <c r="M14" s="45"/>
      <c r="N14" s="45"/>
    </row>
    <row r="15" spans="2:14" ht="14.25" thickBot="1">
      <c r="B15" s="45"/>
      <c r="C15" s="45"/>
      <c r="D15" s="45"/>
      <c r="E15" s="57" t="s">
        <v>38</v>
      </c>
      <c r="F15" s="58">
        <v>1</v>
      </c>
      <c r="G15" s="59" t="s">
        <v>71</v>
      </c>
      <c r="H15" s="59" t="s">
        <v>37</v>
      </c>
      <c r="I15" s="60"/>
      <c r="J15" s="61"/>
      <c r="K15" s="60"/>
      <c r="L15" s="62"/>
      <c r="M15" s="45"/>
      <c r="N15" s="45"/>
    </row>
    <row r="16" spans="1:14" ht="15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</row>
    <row r="17" spans="1:14" ht="15">
      <c r="A17" s="45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</row>
    <row r="18" spans="1:14" ht="15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</row>
    <row r="19" spans="1:14" ht="15">
      <c r="A19" s="45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N19" s="45"/>
    </row>
    <row r="20" spans="1:14" ht="15.75" thickBot="1">
      <c r="A20" s="45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65" t="s">
        <v>57</v>
      </c>
      <c r="M20" s="45"/>
      <c r="N20" s="45"/>
    </row>
    <row r="21" spans="1:14" ht="15.75" thickBot="1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67" t="s">
        <v>39</v>
      </c>
      <c r="M21" s="68">
        <v>10</v>
      </c>
      <c r="N21" s="65" t="s">
        <v>70</v>
      </c>
    </row>
    <row r="22" spans="1:14" ht="15.75" thickBot="1">
      <c r="A22" s="45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67" t="s">
        <v>40</v>
      </c>
      <c r="M22" s="68">
        <v>0.005</v>
      </c>
      <c r="N22" s="66" t="s">
        <v>12</v>
      </c>
    </row>
    <row r="23" spans="1:14" ht="15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</row>
    <row r="24" spans="1:14" ht="15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</row>
    <row r="25" spans="1:14" ht="15">
      <c r="A25" s="45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</row>
    <row r="26" spans="1:14" ht="15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</row>
    <row r="27" spans="1:14" ht="15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</row>
    <row r="28" spans="1:14" ht="14.25" thickBot="1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</row>
    <row r="29" spans="1:14" ht="14.25" thickBot="1">
      <c r="A29" s="45"/>
      <c r="B29" s="47" t="s">
        <v>56</v>
      </c>
      <c r="C29" s="48"/>
      <c r="D29" s="48"/>
      <c r="E29" s="48"/>
      <c r="F29" s="49"/>
      <c r="G29" s="45"/>
      <c r="H29" s="76" t="s">
        <v>59</v>
      </c>
      <c r="I29" s="77"/>
      <c r="J29" s="77"/>
      <c r="K29" s="77"/>
      <c r="L29" s="78"/>
      <c r="M29" s="69"/>
      <c r="N29" s="45"/>
    </row>
    <row r="30" spans="1:14" ht="14.25" thickBot="1">
      <c r="A30" s="45"/>
      <c r="B30" s="50"/>
      <c r="C30" s="51"/>
      <c r="D30" s="52" t="s">
        <v>72</v>
      </c>
      <c r="E30" s="54">
        <f>Calculations!C15</f>
        <v>56</v>
      </c>
      <c r="F30" s="53" t="s">
        <v>70</v>
      </c>
      <c r="G30" s="45"/>
      <c r="H30" s="79"/>
      <c r="I30" s="69"/>
      <c r="J30" s="70" t="s">
        <v>61</v>
      </c>
      <c r="K30" s="73">
        <f>Cd</f>
        <v>40</v>
      </c>
      <c r="L30" s="80" t="s">
        <v>70</v>
      </c>
      <c r="N30" s="45"/>
    </row>
    <row r="31" spans="1:14" ht="14.25" thickBot="1">
      <c r="A31" s="45"/>
      <c r="B31" s="96" t="s">
        <v>73</v>
      </c>
      <c r="C31" s="97"/>
      <c r="D31" s="97"/>
      <c r="E31" s="97"/>
      <c r="F31" s="98"/>
      <c r="G31" s="45"/>
      <c r="H31" s="79" t="s">
        <v>60</v>
      </c>
      <c r="I31" s="71"/>
      <c r="J31" s="70"/>
      <c r="K31" s="74"/>
      <c r="L31" s="81"/>
      <c r="M31" s="69"/>
      <c r="N31" s="45"/>
    </row>
    <row r="32" spans="1:14" ht="14.25" thickBot="1">
      <c r="A32" s="45"/>
      <c r="B32" s="99"/>
      <c r="C32" s="100"/>
      <c r="D32" s="100"/>
      <c r="E32" s="100"/>
      <c r="F32" s="101"/>
      <c r="G32" s="45"/>
      <c r="H32" s="82"/>
      <c r="I32" s="71"/>
      <c r="J32" s="70" t="s">
        <v>62</v>
      </c>
      <c r="K32" s="89">
        <f>Cd_ESR</f>
        <v>0.31622776601683794</v>
      </c>
      <c r="L32" s="83" t="s">
        <v>12</v>
      </c>
      <c r="M32" s="69"/>
      <c r="N32" s="45"/>
    </row>
    <row r="33" spans="1:14" ht="14.25" thickBot="1">
      <c r="A33" s="45"/>
      <c r="B33" s="102"/>
      <c r="C33" s="103"/>
      <c r="D33" s="103"/>
      <c r="E33" s="103"/>
      <c r="F33" s="104"/>
      <c r="G33" s="45"/>
      <c r="H33" s="76" t="s">
        <v>63</v>
      </c>
      <c r="I33" s="90"/>
      <c r="J33" s="90"/>
      <c r="K33" s="91"/>
      <c r="L33" s="92"/>
      <c r="M33" s="45"/>
      <c r="N33" s="45"/>
    </row>
    <row r="34" spans="1:14" ht="14.25" thickBot="1">
      <c r="A34" s="45"/>
      <c r="B34" s="47" t="s">
        <v>65</v>
      </c>
      <c r="C34" s="48"/>
      <c r="D34" s="48"/>
      <c r="E34" s="48"/>
      <c r="F34" s="49"/>
      <c r="G34" s="45"/>
      <c r="H34" s="86"/>
      <c r="I34" s="72"/>
      <c r="J34" s="70" t="s">
        <v>66</v>
      </c>
      <c r="K34" s="73">
        <v>47</v>
      </c>
      <c r="L34" s="80" t="s">
        <v>70</v>
      </c>
      <c r="M34" s="45"/>
      <c r="N34" s="45"/>
    </row>
    <row r="35" spans="1:14" ht="14.25" thickBot="1">
      <c r="A35" s="45"/>
      <c r="B35" s="50"/>
      <c r="C35" s="51"/>
      <c r="D35" s="52" t="s">
        <v>55</v>
      </c>
      <c r="E35" s="54">
        <v>68</v>
      </c>
      <c r="F35" s="53" t="s">
        <v>70</v>
      </c>
      <c r="G35" s="45"/>
      <c r="H35" s="87"/>
      <c r="I35" s="88"/>
      <c r="J35" s="84" t="s">
        <v>67</v>
      </c>
      <c r="K35" s="75">
        <v>0.4</v>
      </c>
      <c r="L35" s="85" t="s">
        <v>12</v>
      </c>
      <c r="M35" s="45"/>
      <c r="N35" s="45"/>
    </row>
    <row r="36" spans="1:14" ht="14.25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7" spans="1:14" ht="14.25" thickBot="1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</row>
    <row r="38" spans="1:14" ht="26.25" customHeight="1">
      <c r="A38" s="45"/>
      <c r="B38" s="105" t="s">
        <v>64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7"/>
      <c r="N38" s="45"/>
    </row>
    <row r="39" spans="1:14" s="95" customFormat="1" ht="18">
      <c r="A39" s="94"/>
      <c r="B39" s="111" t="str">
        <f>CONCATENATE("Lf = ",Lf,"μH, Current Rating IRMS ≥ ",ROUNDUP(1.2*SQRT(DUTY*IOUT*IOUT),2),"A,  ISAT ≥ ",ROUNDUP(1.2*IOUT,2),"A")</f>
        <v>Lf = 1μH, Current Rating IRMS ≥ 3.32A,  ISAT ≥ 6A</v>
      </c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3"/>
      <c r="N39" s="94"/>
    </row>
    <row r="40" spans="1:14" s="95" customFormat="1" ht="22.5" customHeight="1">
      <c r="A40" s="94"/>
      <c r="B40" s="108" t="str">
        <f>CONCATENATE("Cf = ",Cf_Act,"μF, Voltage Rating VDC &gt; ",ROUNDUP(1.2*VIN,2),"V (see note above),  LOW ESR")</f>
        <v>Cf = 68μF, Voltage Rating VDC &gt; 14.4V (see note above),  LOW ESR</v>
      </c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10"/>
      <c r="N40" s="94"/>
    </row>
    <row r="41" spans="1:14" s="95" customFormat="1" ht="24" customHeight="1" thickBot="1">
      <c r="A41" s="94"/>
      <c r="B41" s="114" t="str">
        <f>CONCATENATE("Cd = ",Cd_Act,"μF, Voltage Rating VDC &gt; ",ROUNDUP(1.2*VIN,2),"V, ESR=",Cd_ESR_Act,"ohms, IRMS &gt;",ROUNDUP(1.2*IRMS_Cd,2),"A")</f>
        <v>Cd = 47μF, Voltage Rating VDC &gt; 14.4V, ESR=0.4ohms, IRMS &gt;0.23A</v>
      </c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6"/>
      <c r="N41" s="94"/>
    </row>
    <row r="42" spans="1:14" ht="14.25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</row>
    <row r="43" spans="1:14" ht="14.25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</row>
    <row r="44" s="24" customFormat="1" ht="14.25"/>
    <row r="45" s="24" customFormat="1" ht="14.25"/>
  </sheetData>
  <sheetProtection/>
  <mergeCells count="5">
    <mergeCell ref="B31:F33"/>
    <mergeCell ref="B38:M38"/>
    <mergeCell ref="B40:M40"/>
    <mergeCell ref="B39:M39"/>
    <mergeCell ref="B41:M41"/>
  </mergeCells>
  <hyperlinks>
    <hyperlink ref="M2" r:id="rId1" display="source: AN-2162 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3:K31"/>
  <sheetViews>
    <sheetView zoomScalePageLayoutView="0" workbookViewId="0" topLeftCell="A1">
      <selection activeCell="C18" sqref="C18"/>
    </sheetView>
  </sheetViews>
  <sheetFormatPr defaultColWidth="9.140625" defaultRowHeight="15"/>
  <cols>
    <col min="1" max="1" width="2.140625" style="0" customWidth="1"/>
    <col min="2" max="2" width="19.421875" style="0" customWidth="1"/>
    <col min="3" max="3" width="6.421875" style="0" customWidth="1"/>
    <col min="4" max="4" width="5.57421875" style="0" customWidth="1"/>
    <col min="7" max="7" width="29.8515625" style="0" customWidth="1"/>
    <col min="8" max="8" width="32.57421875" style="0" customWidth="1"/>
    <col min="10" max="10" width="16.28125" style="0" customWidth="1"/>
  </cols>
  <sheetData>
    <row r="3" spans="2:5" ht="14.25">
      <c r="B3" s="3" t="s">
        <v>4</v>
      </c>
      <c r="C3" s="1">
        <f>VOUT/VIN/EFF</f>
        <v>0.3055555555555555</v>
      </c>
      <c r="E3" t="s">
        <v>26</v>
      </c>
    </row>
    <row r="4" spans="2:5" ht="14.25">
      <c r="B4" s="3" t="s">
        <v>5</v>
      </c>
      <c r="C4" s="2">
        <f>20*LOG(IOUT/(PI()^2*FSW*1000*CIN*0.000001)*SIN(PI()*DUTY)/0.000001)-VLIMIT</f>
        <v>53.38129548073181</v>
      </c>
      <c r="D4" t="s">
        <v>6</v>
      </c>
      <c r="E4" t="s">
        <v>27</v>
      </c>
    </row>
    <row r="6" ht="14.25" thickBot="1"/>
    <row r="7" spans="2:7" ht="14.25">
      <c r="B7" s="4" t="s">
        <v>7</v>
      </c>
      <c r="C7" s="5"/>
      <c r="D7" s="5"/>
      <c r="E7" s="5"/>
      <c r="F7" s="5"/>
      <c r="G7" s="6"/>
    </row>
    <row r="9" spans="2:11" ht="14.25" thickBot="1">
      <c r="B9" s="17" t="s">
        <v>8</v>
      </c>
      <c r="C9" s="18">
        <f>IOUT*1.2</f>
        <v>6</v>
      </c>
      <c r="D9" s="18" t="s">
        <v>1</v>
      </c>
      <c r="E9" s="18" t="s">
        <v>28</v>
      </c>
      <c r="F9" s="18"/>
      <c r="G9" s="19"/>
      <c r="I9" t="s">
        <v>22</v>
      </c>
      <c r="J9" t="s">
        <v>23</v>
      </c>
      <c r="K9">
        <f>Cf</f>
        <v>47.28953337189644</v>
      </c>
    </row>
    <row r="10" spans="9:11" ht="14.25" thickBot="1">
      <c r="I10">
        <v>1</v>
      </c>
      <c r="J10" t="s">
        <v>24</v>
      </c>
      <c r="K10">
        <f>SMALL($I$10:$I$31,COUNTIF($I$10:$I$31,"&lt;"&amp;K9)+1)</f>
        <v>56</v>
      </c>
    </row>
    <row r="11" spans="2:9" ht="14.25">
      <c r="B11" s="4" t="s">
        <v>9</v>
      </c>
      <c r="C11" s="5"/>
      <c r="D11" s="5"/>
      <c r="E11" s="5"/>
      <c r="F11" s="5"/>
      <c r="G11" s="6"/>
      <c r="I11">
        <v>3.3</v>
      </c>
    </row>
    <row r="12" spans="2:9" ht="14.25">
      <c r="B12" s="7" t="s">
        <v>14</v>
      </c>
      <c r="C12" s="20">
        <f>CIN*0.000001/(CIN*0.000001*Lf*0.000001*(2*PI()*FSW*1000/10)^2-1)/0.000001</f>
        <v>-766.8970489450915</v>
      </c>
      <c r="D12" s="8" t="s">
        <v>2</v>
      </c>
      <c r="E12" s="8" t="s">
        <v>29</v>
      </c>
      <c r="F12" s="8"/>
      <c r="G12" s="9"/>
      <c r="I12">
        <v>4.7</v>
      </c>
    </row>
    <row r="13" spans="2:9" ht="14.25">
      <c r="B13" s="7" t="s">
        <v>15</v>
      </c>
      <c r="C13" s="20">
        <f>1/(Lf*0.000001)*(10^(ATT/40)/(2*PI()*FSW*1000))^2/0.000001</f>
        <v>47.28953337189644</v>
      </c>
      <c r="D13" s="8" t="s">
        <v>2</v>
      </c>
      <c r="E13" s="8" t="s">
        <v>29</v>
      </c>
      <c r="F13" s="8"/>
      <c r="G13" s="9"/>
      <c r="I13">
        <v>6.8</v>
      </c>
    </row>
    <row r="14" spans="2:9" ht="14.25">
      <c r="B14" s="7" t="s">
        <v>10</v>
      </c>
      <c r="C14" s="20">
        <f>MAX(Cfa,Cfb)</f>
        <v>47.28953337189644</v>
      </c>
      <c r="D14" s="8" t="s">
        <v>2</v>
      </c>
      <c r="E14" s="8" t="s">
        <v>29</v>
      </c>
      <c r="F14" s="8"/>
      <c r="G14" s="9"/>
      <c r="I14">
        <v>8.2</v>
      </c>
    </row>
    <row r="15" spans="2:9" ht="14.25" thickBot="1">
      <c r="B15" s="21" t="s">
        <v>25</v>
      </c>
      <c r="C15" s="18">
        <f>K10</f>
        <v>56</v>
      </c>
      <c r="D15" s="18" t="s">
        <v>2</v>
      </c>
      <c r="E15" s="18" t="s">
        <v>30</v>
      </c>
      <c r="F15" s="18"/>
      <c r="G15" s="19"/>
      <c r="I15">
        <v>10</v>
      </c>
    </row>
    <row r="16" ht="14.25" thickBot="1">
      <c r="I16">
        <v>33</v>
      </c>
    </row>
    <row r="17" spans="2:9" ht="14.25">
      <c r="B17" s="4" t="s">
        <v>13</v>
      </c>
      <c r="C17" s="5"/>
      <c r="D17" s="5"/>
      <c r="E17" s="5"/>
      <c r="F17" s="5"/>
      <c r="G17" s="6"/>
      <c r="I17">
        <v>47</v>
      </c>
    </row>
    <row r="18" spans="2:9" ht="14.25">
      <c r="B18" s="7" t="s">
        <v>11</v>
      </c>
      <c r="C18" s="8">
        <f>4*CIN</f>
        <v>40</v>
      </c>
      <c r="D18" s="8" t="s">
        <v>2</v>
      </c>
      <c r="E18" s="8" t="s">
        <v>29</v>
      </c>
      <c r="F18" s="8"/>
      <c r="G18" s="9"/>
      <c r="I18">
        <v>56</v>
      </c>
    </row>
    <row r="19" spans="2:9" ht="14.25">
      <c r="B19" s="7" t="s">
        <v>20</v>
      </c>
      <c r="C19" s="10">
        <f>SQRT(Lf/CIN)</f>
        <v>0.31622776601683794</v>
      </c>
      <c r="D19" s="11" t="s">
        <v>12</v>
      </c>
      <c r="E19" s="8" t="s">
        <v>29</v>
      </c>
      <c r="F19" s="8"/>
      <c r="G19" s="9"/>
      <c r="I19">
        <v>68</v>
      </c>
    </row>
    <row r="20" spans="2:9" ht="14.25">
      <c r="B20" s="13"/>
      <c r="C20" s="8"/>
      <c r="D20" s="8"/>
      <c r="E20" s="8"/>
      <c r="F20" s="8"/>
      <c r="G20" s="9"/>
      <c r="I20">
        <v>82</v>
      </c>
    </row>
    <row r="21" ht="14.25" thickBot="1">
      <c r="I21">
        <v>100</v>
      </c>
    </row>
    <row r="22" spans="2:9" ht="14.25">
      <c r="B22" s="4" t="s">
        <v>33</v>
      </c>
      <c r="C22" s="5"/>
      <c r="D22" s="5"/>
      <c r="E22" s="5"/>
      <c r="F22" s="5"/>
      <c r="G22" s="6"/>
      <c r="I22">
        <v>330</v>
      </c>
    </row>
    <row r="23" spans="2:9" ht="14.25">
      <c r="B23" s="12" t="s">
        <v>16</v>
      </c>
      <c r="C23" s="10">
        <f>1/(2*PI()*FSW*1000*Cd_Act*0.000001)+Cd_ESR_Act</f>
        <v>0.4067725507698679</v>
      </c>
      <c r="D23" s="11" t="s">
        <v>12</v>
      </c>
      <c r="E23" s="8" t="s">
        <v>31</v>
      </c>
      <c r="F23" s="8"/>
      <c r="G23" s="9"/>
      <c r="I23">
        <v>470</v>
      </c>
    </row>
    <row r="24" spans="2:9" ht="14.25">
      <c r="B24" s="12" t="s">
        <v>17</v>
      </c>
      <c r="C24" s="10">
        <f>1/(2*PI()*FSW*1000*CIN*0.000001)+CIN_ESR</f>
        <v>0.03683098861837907</v>
      </c>
      <c r="D24" s="11" t="s">
        <v>12</v>
      </c>
      <c r="E24" s="8" t="s">
        <v>32</v>
      </c>
      <c r="F24" s="8"/>
      <c r="G24" s="9"/>
      <c r="I24">
        <v>680</v>
      </c>
    </row>
    <row r="25" spans="2:9" ht="14.25">
      <c r="B25" s="12"/>
      <c r="C25" s="8"/>
      <c r="D25" s="8"/>
      <c r="E25" s="8"/>
      <c r="F25" s="8"/>
      <c r="G25" s="9"/>
      <c r="I25">
        <v>820</v>
      </c>
    </row>
    <row r="26" spans="2:9" ht="14.25">
      <c r="B26" s="14" t="s">
        <v>19</v>
      </c>
      <c r="C26" s="22">
        <f>IOUT*SQRT(DUTY*(1-DUTY))</f>
        <v>2.3032116599690275</v>
      </c>
      <c r="D26" s="15" t="s">
        <v>1</v>
      </c>
      <c r="E26" s="15" t="s">
        <v>34</v>
      </c>
      <c r="F26" s="15"/>
      <c r="G26" s="16"/>
      <c r="I26">
        <v>1000</v>
      </c>
    </row>
    <row r="27" spans="2:9" ht="14.25">
      <c r="B27" s="14" t="s">
        <v>21</v>
      </c>
      <c r="C27" s="22">
        <f>IRMSTOT*(ZCIN/(ZCIN+ZCd))</f>
        <v>0.19122832642638904</v>
      </c>
      <c r="D27" s="15" t="s">
        <v>1</v>
      </c>
      <c r="E27" s="15" t="s">
        <v>35</v>
      </c>
      <c r="F27" s="15"/>
      <c r="G27" s="16"/>
      <c r="I27">
        <v>3300</v>
      </c>
    </row>
    <row r="28" spans="2:9" ht="14.25" thickBot="1">
      <c r="B28" s="17" t="s">
        <v>18</v>
      </c>
      <c r="C28" s="23">
        <f>IRMSTOT*(ZCd/(ZCIN+ZCd))</f>
        <v>2.1119833335426383</v>
      </c>
      <c r="D28" s="18" t="s">
        <v>1</v>
      </c>
      <c r="E28" s="18" t="s">
        <v>36</v>
      </c>
      <c r="F28" s="18"/>
      <c r="G28" s="19"/>
      <c r="I28">
        <v>4700</v>
      </c>
    </row>
    <row r="29" ht="14.25">
      <c r="I29">
        <v>6800</v>
      </c>
    </row>
    <row r="30" ht="14.25">
      <c r="I30">
        <v>8200</v>
      </c>
    </row>
    <row r="31" ht="14.25">
      <c r="I31">
        <v>10000</v>
      </c>
    </row>
    <row r="39" ht="16.5" customHeight="1"/>
    <row r="40" ht="16.5" customHeight="1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Semiconductor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addpsc</dc:creator>
  <cp:keywords/>
  <dc:description/>
  <cp:lastModifiedBy>Baba, David</cp:lastModifiedBy>
  <cp:lastPrinted>2011-12-08T23:24:52Z</cp:lastPrinted>
  <dcterms:created xsi:type="dcterms:W3CDTF">2011-12-06T23:36:51Z</dcterms:created>
  <dcterms:modified xsi:type="dcterms:W3CDTF">2023-01-24T17:20:23Z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